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75" yWindow="65476" windowWidth="13935" windowHeight="9045" activeTab="0"/>
  </bookViews>
  <sheets>
    <sheet name="Ration" sheetId="1" r:id="rId1"/>
    <sheet name="Futtermitteltabelle" sheetId="2" r:id="rId2"/>
  </sheets>
  <definedNames>
    <definedName name="anscount" hidden="1">1</definedName>
    <definedName name="_xlnm.Print_Area" localSheetId="0">'Ration'!$B$1:$O$38</definedName>
    <definedName name="Futtermittel">'Futtermitteltabelle'!$B$7:$M$27</definedName>
    <definedName name="Futternamen">'Futtermitteltabelle'!$B$7:$B$27</definedName>
    <definedName name="sencount" hidden="1">2</definedName>
    <definedName name="solver_adj" localSheetId="0" hidden="1">'Ration'!$C$23:$C$27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'Ration'!$C$23:$C$27</definedName>
    <definedName name="solver_lhs2" localSheetId="0" hidden="1">'Ration'!$J$30</definedName>
    <definedName name="solver_lhs3" localSheetId="0" hidden="1">'Ration'!$F$30:$H$30</definedName>
    <definedName name="solver_lhs4" localSheetId="0" hidden="1">'Ration'!$E$30</definedName>
    <definedName name="solver_lhs5" localSheetId="0" hidden="1">'Ration'!$H$28</definedName>
    <definedName name="solver_lhs6" localSheetId="0" hidden="1">'Ration'!$C$23:$C$27</definedName>
    <definedName name="solver_lin" localSheetId="0" hidden="1">1</definedName>
    <definedName name="solver_neg" localSheetId="0" hidden="1">2</definedName>
    <definedName name="solver_num" localSheetId="0" hidden="1">4</definedName>
    <definedName name="solver_nwt" localSheetId="0" hidden="1">0</definedName>
    <definedName name="solver_opt" localSheetId="0" hidden="1">'Ration'!$O$28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el5" localSheetId="0" hidden="1">2</definedName>
    <definedName name="solver_rel6" localSheetId="0" hidden="1">4</definedName>
    <definedName name="solver_rhs1" localSheetId="0" hidden="1">'Ration'!$C$41</definedName>
    <definedName name="solver_rhs2" localSheetId="0" hidden="1">'Ration'!$C$41</definedName>
    <definedName name="solver_rhs3" localSheetId="0" hidden="1">'Ration'!$C$41</definedName>
    <definedName name="solver_rhs4" localSheetId="0" hidden="1">'Ration'!$C$41</definedName>
    <definedName name="solver_rhs5" localSheetId="0" hidden="1">'Ration'!$H$29</definedName>
    <definedName name="solver_rhs6" localSheetId="0" hidden="1">Ganzzahlig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<sst xmlns="http://schemas.openxmlformats.org/spreadsheetml/2006/main" count="95" uniqueCount="71">
  <si>
    <t>Nähr- und Mineralstoffgehalte ausgewählter Futtermittel</t>
  </si>
  <si>
    <t>NEL
MJ</t>
  </si>
  <si>
    <t xml:space="preserve">StE
</t>
  </si>
  <si>
    <t>Ca
g</t>
  </si>
  <si>
    <t>P
g</t>
  </si>
  <si>
    <t>Na
g</t>
  </si>
  <si>
    <t>Mg
g</t>
  </si>
  <si>
    <t>1000 g Futtermittel enthalten</t>
  </si>
  <si>
    <t xml:space="preserve">Futtermittel
</t>
  </si>
  <si>
    <t>Heu gut</t>
  </si>
  <si>
    <t>Heu mittel</t>
  </si>
  <si>
    <t>Heu schlecht</t>
  </si>
  <si>
    <t>Gerste</t>
  </si>
  <si>
    <t>Hafer</t>
  </si>
  <si>
    <t>Trockenschnitzel</t>
  </si>
  <si>
    <t>Trockenschnitzel 16%</t>
  </si>
  <si>
    <t>Trockenschnitzel 24%</t>
  </si>
  <si>
    <t>Massenrüben</t>
  </si>
  <si>
    <t>Gehaltsrüben</t>
  </si>
  <si>
    <t>Haferstroh</t>
  </si>
  <si>
    <t>Weizenstroh</t>
  </si>
  <si>
    <t>Gerstenstroh</t>
  </si>
  <si>
    <t>Rauhfutter</t>
  </si>
  <si>
    <t>Kraftfutter</t>
  </si>
  <si>
    <t>Knollen</t>
  </si>
  <si>
    <t>Körpergewicht in kg</t>
  </si>
  <si>
    <t>Summen</t>
  </si>
  <si>
    <t>% Rohfaser in TM</t>
  </si>
  <si>
    <t>Weizen</t>
  </si>
  <si>
    <t>Str.Rohf
g</t>
  </si>
  <si>
    <t>Rohf.
g</t>
  </si>
  <si>
    <t>Rohprot
g</t>
  </si>
  <si>
    <t>TM
g</t>
  </si>
  <si>
    <t>Angaben zum Tier :</t>
  </si>
  <si>
    <t>Name</t>
  </si>
  <si>
    <t>Stallnr</t>
  </si>
  <si>
    <t>Abweichnung</t>
  </si>
  <si>
    <t>Kosten
DM/kg</t>
  </si>
  <si>
    <t>Str.Rf
g</t>
  </si>
  <si>
    <t>rP:StE Verhältnis</t>
  </si>
  <si>
    <t>P:Ca Verhältnis</t>
  </si>
  <si>
    <t>Ackerbohne</t>
  </si>
  <si>
    <t>% Strukt.Rohf. in TM</t>
  </si>
  <si>
    <t>Bedarfswerte</t>
  </si>
  <si>
    <t>Futterrationsberechnung für Milchschafe</t>
  </si>
  <si>
    <t>Kosten
pro Tag</t>
  </si>
  <si>
    <t>Kosten DM pro Ration</t>
  </si>
  <si>
    <t>Luzernenpellets</t>
  </si>
  <si>
    <t>Mais</t>
  </si>
  <si>
    <t>Grünfutter</t>
  </si>
  <si>
    <t>Weidegras jung</t>
  </si>
  <si>
    <t>Weidegras, älter</t>
  </si>
  <si>
    <t>Soja</t>
  </si>
  <si>
    <t>ist</t>
  </si>
  <si>
    <t>soll</t>
  </si>
  <si>
    <t>Grundbedarf</t>
  </si>
  <si>
    <t>Zuschlag Trächtigkeit</t>
  </si>
  <si>
    <t>Zuschlag Milch</t>
  </si>
  <si>
    <t>Bedarf gesamt</t>
  </si>
  <si>
    <t>Trächtigkeit</t>
  </si>
  <si>
    <t>Vereinfachend wird güst wie niedertragend behandelt. Zuschläge bei Hochträchtigkeit ab 110. Trächtigkeitstag.</t>
  </si>
  <si>
    <t>-------------</t>
  </si>
  <si>
    <t>Menge
tägl. g</t>
  </si>
  <si>
    <t>Menge tägl. Kg</t>
  </si>
  <si>
    <t>Zusätzliche Daten der Ration</t>
  </si>
  <si>
    <t>Milchleistung tägl. g</t>
  </si>
  <si>
    <t>Zara</t>
  </si>
  <si>
    <t>Autor : Michael Dors, Steinbeck 1, 31275 Lehrte-Immensen, Tel. 05175-930790
e-mail : Die@Schafkaeserei.de
Ohne Gewähr !  Sämtliche Formeln und Angaben sind nach bestem Wissen erstellt. Fehler bitte ich mir mitzuteilen.</t>
  </si>
  <si>
    <r>
      <t xml:space="preserve">Geschätztes Aufnahmevermögen und Bedarfswerte errechnet aus Gewicht und Milchleistung.
</t>
    </r>
    <r>
      <rPr>
        <sz val="8"/>
        <rFont val="Arial"/>
        <family val="2"/>
      </rPr>
      <t>Formeln nach Angaben von Salewski (1987) für Milchschafe aus Schäfereikalender 1996.</t>
    </r>
  </si>
  <si>
    <t>Futtermittel
Feld anclicken und
aus Liste auswählen</t>
  </si>
  <si>
    <t>nieder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</si>
</sst>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_ ;[Red]\-0.00\ "/>
    <numFmt numFmtId="173" formatCode="0.0_ ;[Red]\-0.0\ "/>
    <numFmt numFmtId="174" formatCode="0_ ;[Red]\-0\ "/>
    <numFmt numFmtId="175" formatCode="#,##0.00\ &quot;DM&quot;"/>
    <numFmt numFmtId="176" formatCode="0;[Red]0"/>
    <numFmt numFmtId="177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3" borderId="1" xfId="0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2" fontId="0" fillId="4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2" fontId="0" fillId="3" borderId="1" xfId="0" applyNumberFormat="1" applyFont="1" applyFill="1" applyBorder="1" applyAlignment="1">
      <alignment wrapText="1"/>
    </xf>
    <xf numFmtId="0" fontId="0" fillId="3" borderId="1" xfId="0" applyNumberFormat="1" applyFont="1" applyFill="1" applyBorder="1" applyAlignment="1">
      <alignment wrapText="1"/>
    </xf>
    <xf numFmtId="2" fontId="0" fillId="4" borderId="1" xfId="0" applyNumberFormat="1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8" xfId="0" applyNumberFormat="1" applyFont="1" applyFill="1" applyBorder="1" applyAlignment="1">
      <alignment horizontal="center" wrapText="1"/>
    </xf>
    <xf numFmtId="0" fontId="1" fillId="4" borderId="8" xfId="0" applyFont="1" applyFill="1" applyBorder="1" applyAlignment="1">
      <alignment wrapText="1"/>
    </xf>
    <xf numFmtId="0" fontId="0" fillId="3" borderId="0" xfId="0" applyFill="1" applyAlignment="1">
      <alignment/>
    </xf>
    <xf numFmtId="0" fontId="2" fillId="5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" fontId="3" fillId="0" borderId="0" xfId="0" applyNumberFormat="1" applyFont="1" applyAlignment="1" applyProtection="1">
      <alignment/>
      <protection hidden="1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0" xfId="0" applyFill="1" applyBorder="1" applyAlignment="1" quotePrefix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3" borderId="15" xfId="0" applyFont="1" applyFill="1" applyBorder="1" applyAlignment="1" applyProtection="1">
      <alignment/>
      <protection hidden="1"/>
    </xf>
    <xf numFmtId="0" fontId="4" fillId="3" borderId="16" xfId="0" applyFont="1" applyFill="1" applyBorder="1" applyAlignment="1" applyProtection="1">
      <alignment/>
      <protection hidden="1"/>
    </xf>
    <xf numFmtId="0" fontId="3" fillId="3" borderId="16" xfId="0" applyFont="1" applyFill="1" applyBorder="1" applyAlignment="1" applyProtection="1">
      <alignment/>
      <protection hidden="1"/>
    </xf>
    <xf numFmtId="0" fontId="4" fillId="3" borderId="17" xfId="0" applyFont="1" applyFill="1" applyBorder="1" applyAlignment="1" applyProtection="1">
      <alignment/>
      <protection hidden="1"/>
    </xf>
    <xf numFmtId="0" fontId="3" fillId="3" borderId="18" xfId="0" applyFont="1" applyFill="1" applyBorder="1" applyAlignment="1" applyProtection="1">
      <alignment/>
      <protection hidden="1"/>
    </xf>
    <xf numFmtId="0" fontId="3" fillId="3" borderId="2" xfId="0" applyFont="1" applyFill="1" applyBorder="1" applyAlignment="1" applyProtection="1">
      <alignment/>
      <protection hidden="1"/>
    </xf>
    <xf numFmtId="0" fontId="3" fillId="3" borderId="2" xfId="0" applyFont="1" applyFill="1" applyBorder="1" applyAlignment="1" applyProtection="1">
      <alignment/>
      <protection hidden="1"/>
    </xf>
    <xf numFmtId="0" fontId="3" fillId="3" borderId="3" xfId="0" applyFont="1" applyFill="1" applyBorder="1" applyAlignment="1" applyProtection="1">
      <alignment/>
      <protection hidden="1"/>
    </xf>
    <xf numFmtId="0" fontId="3" fillId="3" borderId="19" xfId="0" applyFont="1" applyFill="1" applyBorder="1" applyAlignment="1" applyProtection="1">
      <alignment/>
      <protection hidden="1"/>
    </xf>
    <xf numFmtId="0" fontId="3" fillId="3" borderId="17" xfId="0" applyFont="1" applyFill="1" applyBorder="1" applyAlignment="1" applyProtection="1">
      <alignment/>
      <protection hidden="1"/>
    </xf>
    <xf numFmtId="0" fontId="3" fillId="2" borderId="5" xfId="0" applyFont="1" applyFill="1" applyBorder="1" applyAlignment="1" applyProtection="1">
      <alignment/>
      <protection hidden="1"/>
    </xf>
    <xf numFmtId="0" fontId="3" fillId="3" borderId="5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3" fillId="3" borderId="20" xfId="0" applyFont="1" applyFill="1" applyBorder="1" applyAlignment="1" applyProtection="1">
      <alignment/>
      <protection hidden="1"/>
    </xf>
    <xf numFmtId="49" fontId="3" fillId="2" borderId="5" xfId="0" applyNumberFormat="1" applyFont="1" applyFill="1" applyBorder="1" applyAlignment="1" applyProtection="1">
      <alignment horizontal="right"/>
      <protection hidden="1"/>
    </xf>
    <xf numFmtId="0" fontId="5" fillId="3" borderId="5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/>
      <protection hidden="1"/>
    </xf>
    <xf numFmtId="2" fontId="3" fillId="3" borderId="0" xfId="0" applyNumberFormat="1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3" fillId="3" borderId="21" xfId="0" applyFont="1" applyFill="1" applyBorder="1" applyAlignment="1" applyProtection="1">
      <alignment/>
      <protection hidden="1"/>
    </xf>
    <xf numFmtId="2" fontId="3" fillId="2" borderId="22" xfId="0" applyNumberFormat="1" applyFont="1" applyFill="1" applyBorder="1" applyAlignment="1" applyProtection="1">
      <alignment/>
      <protection hidden="1"/>
    </xf>
    <xf numFmtId="0" fontId="3" fillId="3" borderId="22" xfId="0" applyFont="1" applyFill="1" applyBorder="1" applyAlignment="1" applyProtection="1">
      <alignment/>
      <protection hidden="1"/>
    </xf>
    <xf numFmtId="0" fontId="3" fillId="3" borderId="23" xfId="0" applyFont="1" applyFill="1" applyBorder="1" applyAlignment="1" applyProtection="1">
      <alignment/>
      <protection hidden="1"/>
    </xf>
    <xf numFmtId="0" fontId="3" fillId="3" borderId="24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" fontId="3" fillId="0" borderId="1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hidden="1"/>
    </xf>
    <xf numFmtId="0" fontId="3" fillId="6" borderId="0" xfId="0" applyFont="1" applyFill="1" applyAlignment="1" applyProtection="1">
      <alignment/>
      <protection hidden="1"/>
    </xf>
    <xf numFmtId="2" fontId="3" fillId="6" borderId="0" xfId="0" applyNumberFormat="1" applyFont="1" applyFill="1" applyAlignment="1" applyProtection="1">
      <alignment/>
      <protection hidden="1"/>
    </xf>
    <xf numFmtId="0" fontId="4" fillId="6" borderId="25" xfId="0" applyFont="1" applyFill="1" applyBorder="1" applyAlignment="1" applyProtection="1">
      <alignment horizontal="center" wrapText="1"/>
      <protection hidden="1"/>
    </xf>
    <xf numFmtId="0" fontId="4" fillId="6" borderId="25" xfId="0" applyNumberFormat="1" applyFont="1" applyFill="1" applyBorder="1" applyAlignment="1" applyProtection="1">
      <alignment horizontal="center" wrapText="1"/>
      <protection hidden="1"/>
    </xf>
    <xf numFmtId="0" fontId="3" fillId="7" borderId="1" xfId="0" applyFont="1" applyFill="1" applyBorder="1" applyAlignment="1" applyProtection="1">
      <alignment/>
      <protection hidden="1"/>
    </xf>
    <xf numFmtId="2" fontId="3" fillId="7" borderId="1" xfId="0" applyNumberFormat="1" applyFont="1" applyFill="1" applyBorder="1" applyAlignment="1" applyProtection="1">
      <alignment/>
      <protection hidden="1"/>
    </xf>
    <xf numFmtId="1" fontId="3" fillId="7" borderId="1" xfId="0" applyNumberFormat="1" applyFont="1" applyFill="1" applyBorder="1" applyAlignment="1" applyProtection="1">
      <alignment/>
      <protection hidden="1"/>
    </xf>
    <xf numFmtId="177" fontId="3" fillId="7" borderId="1" xfId="0" applyNumberFormat="1" applyFont="1" applyFill="1" applyBorder="1" applyAlignment="1" applyProtection="1">
      <alignment/>
      <protection hidden="1"/>
    </xf>
    <xf numFmtId="0" fontId="3" fillId="3" borderId="1" xfId="0" applyFont="1" applyFill="1" applyBorder="1" applyAlignment="1" applyProtection="1">
      <alignment/>
      <protection hidden="1"/>
    </xf>
    <xf numFmtId="2" fontId="3" fillId="3" borderId="1" xfId="0" applyNumberFormat="1" applyFont="1" applyFill="1" applyBorder="1" applyAlignment="1" applyProtection="1">
      <alignment/>
      <protection hidden="1"/>
    </xf>
    <xf numFmtId="1" fontId="3" fillId="3" borderId="1" xfId="0" applyNumberFormat="1" applyFont="1" applyFill="1" applyBorder="1" applyAlignment="1" applyProtection="1">
      <alignment/>
      <protection hidden="1"/>
    </xf>
    <xf numFmtId="177" fontId="3" fillId="3" borderId="1" xfId="0" applyNumberFormat="1" applyFont="1" applyFill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4" fillId="6" borderId="1" xfId="0" applyFont="1" applyFill="1" applyBorder="1" applyAlignment="1" applyProtection="1">
      <alignment horizontal="center" vertical="top" wrapText="1"/>
      <protection hidden="1"/>
    </xf>
    <xf numFmtId="0" fontId="4" fillId="6" borderId="1" xfId="0" applyFont="1" applyFill="1" applyBorder="1" applyAlignment="1" applyProtection="1">
      <alignment horizontal="center" wrapText="1"/>
      <protection hidden="1"/>
    </xf>
    <xf numFmtId="0" fontId="4" fillId="6" borderId="1" xfId="0" applyNumberFormat="1" applyFont="1" applyFill="1" applyBorder="1" applyAlignment="1" applyProtection="1">
      <alignment horizontal="center" wrapText="1"/>
      <protection hidden="1"/>
    </xf>
    <xf numFmtId="0" fontId="4" fillId="2" borderId="1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2" fontId="3" fillId="8" borderId="1" xfId="0" applyNumberFormat="1" applyFont="1" applyFill="1" applyBorder="1" applyAlignment="1" applyProtection="1">
      <alignment/>
      <protection hidden="1"/>
    </xf>
    <xf numFmtId="1" fontId="3" fillId="8" borderId="1" xfId="0" applyNumberFormat="1" applyFont="1" applyFill="1" applyBorder="1" applyAlignment="1" applyProtection="1">
      <alignment/>
      <protection hidden="1"/>
    </xf>
    <xf numFmtId="177" fontId="3" fillId="8" borderId="1" xfId="0" applyNumberFormat="1" applyFont="1" applyFill="1" applyBorder="1" applyAlignment="1" applyProtection="1">
      <alignment/>
      <protection hidden="1"/>
    </xf>
    <xf numFmtId="175" fontId="3" fillId="8" borderId="1" xfId="0" applyNumberFormat="1" applyFont="1" applyFill="1" applyBorder="1" applyAlignment="1" applyProtection="1">
      <alignment/>
      <protection hidden="1"/>
    </xf>
    <xf numFmtId="0" fontId="3" fillId="5" borderId="1" xfId="0" applyFont="1" applyFill="1" applyBorder="1" applyAlignment="1" applyProtection="1">
      <alignment/>
      <protection hidden="1"/>
    </xf>
    <xf numFmtId="1" fontId="3" fillId="5" borderId="1" xfId="0" applyNumberFormat="1" applyFont="1" applyFill="1" applyBorder="1" applyAlignment="1" applyProtection="1">
      <alignment/>
      <protection hidden="1"/>
    </xf>
    <xf numFmtId="2" fontId="3" fillId="5" borderId="1" xfId="0" applyNumberFormat="1" applyFont="1" applyFill="1" applyBorder="1" applyAlignment="1" applyProtection="1">
      <alignment/>
      <protection hidden="1"/>
    </xf>
    <xf numFmtId="177" fontId="3" fillId="5" borderId="1" xfId="0" applyNumberFormat="1" applyFont="1" applyFill="1" applyBorder="1" applyAlignment="1" applyProtection="1">
      <alignment/>
      <protection hidden="1"/>
    </xf>
    <xf numFmtId="175" fontId="3" fillId="5" borderId="1" xfId="0" applyNumberFormat="1" applyFont="1" applyFill="1" applyBorder="1" applyAlignment="1" applyProtection="1">
      <alignment/>
      <protection hidden="1"/>
    </xf>
    <xf numFmtId="2" fontId="3" fillId="0" borderId="1" xfId="0" applyNumberFormat="1" applyFont="1" applyFill="1" applyBorder="1" applyAlignment="1" applyProtection="1">
      <alignment/>
      <protection hidden="1"/>
    </xf>
    <xf numFmtId="172" fontId="3" fillId="0" borderId="1" xfId="0" applyNumberFormat="1" applyFont="1" applyFill="1" applyBorder="1" applyAlignment="1" applyProtection="1">
      <alignment/>
      <protection hidden="1"/>
    </xf>
    <xf numFmtId="0" fontId="3" fillId="2" borderId="1" xfId="0" applyFont="1" applyFill="1" applyBorder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/>
      <protection hidden="1"/>
    </xf>
    <xf numFmtId="2" fontId="3" fillId="2" borderId="1" xfId="0" applyNumberFormat="1" applyFont="1" applyFill="1" applyBorder="1" applyAlignment="1" applyProtection="1">
      <alignment/>
      <protection hidden="1"/>
    </xf>
    <xf numFmtId="12" fontId="3" fillId="2" borderId="1" xfId="0" applyNumberFormat="1" applyFont="1" applyFill="1" applyBorder="1" applyAlignment="1" applyProtection="1">
      <alignment/>
      <protection hidden="1"/>
    </xf>
    <xf numFmtId="12" fontId="3" fillId="3" borderId="1" xfId="0" applyNumberFormat="1" applyFont="1" applyFill="1" applyBorder="1" applyAlignment="1" applyProtection="1">
      <alignment/>
      <protection hidden="1"/>
    </xf>
    <xf numFmtId="175" fontId="3" fillId="2" borderId="1" xfId="0" applyNumberFormat="1" applyFont="1" applyFill="1" applyBorder="1" applyAlignment="1" applyProtection="1">
      <alignment/>
      <protection hidden="1"/>
    </xf>
    <xf numFmtId="4" fontId="3" fillId="2" borderId="1" xfId="0" applyNumberFormat="1" applyFont="1" applyFill="1" applyBorder="1" applyAlignment="1" applyProtection="1">
      <alignment/>
      <protection hidden="1"/>
    </xf>
    <xf numFmtId="0" fontId="3" fillId="0" borderId="18" xfId="0" applyFont="1" applyFill="1" applyBorder="1" applyAlignment="1" applyProtection="1">
      <alignment/>
      <protection locked="0"/>
    </xf>
    <xf numFmtId="49" fontId="3" fillId="0" borderId="18" xfId="0" applyNumberFormat="1" applyFont="1" applyFill="1" applyBorder="1" applyAlignment="1" applyProtection="1">
      <alignment horizontal="right"/>
      <protection locked="0"/>
    </xf>
    <xf numFmtId="1" fontId="3" fillId="0" borderId="26" xfId="0" applyNumberFormat="1" applyFont="1" applyFill="1" applyBorder="1" applyAlignment="1" applyProtection="1">
      <alignment/>
      <protection locked="0"/>
    </xf>
    <xf numFmtId="0" fontId="4" fillId="7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7" borderId="0" xfId="0" applyFont="1" applyFill="1" applyAlignment="1" applyProtection="1">
      <alignment vertical="center" wrapText="1"/>
      <protection hidden="1"/>
    </xf>
    <xf numFmtId="0" fontId="4" fillId="7" borderId="0" xfId="0" applyFont="1" applyFill="1" applyBorder="1" applyAlignment="1" applyProtection="1">
      <alignment wrapText="1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0" fontId="3" fillId="2" borderId="27" xfId="0" applyFont="1" applyFill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center"/>
      <protection hidden="1"/>
    </xf>
    <xf numFmtId="14" fontId="4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29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3" borderId="31" xfId="0" applyFont="1" applyFill="1" applyBorder="1" applyAlignment="1" applyProtection="1">
      <alignment/>
      <protection hidden="1"/>
    </xf>
    <xf numFmtId="0" fontId="3" fillId="0" borderId="32" xfId="0" applyFont="1" applyBorder="1" applyAlignment="1" applyProtection="1">
      <alignment/>
      <protection hidden="1"/>
    </xf>
    <xf numFmtId="0" fontId="3" fillId="0" borderId="33" xfId="0" applyFont="1" applyBorder="1" applyAlignment="1" applyProtection="1">
      <alignment/>
      <protection hidden="1"/>
    </xf>
    <xf numFmtId="0" fontId="3" fillId="7" borderId="0" xfId="0" applyFont="1" applyFill="1" applyBorder="1" applyAlignment="1" applyProtection="1">
      <alignment horizontal="left" vertical="center" wrapText="1"/>
      <protection hidden="1"/>
    </xf>
    <xf numFmtId="0" fontId="1" fillId="9" borderId="18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Fill="1" applyBorder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P38"/>
  <sheetViews>
    <sheetView tabSelected="1" workbookViewId="0" topLeftCell="A8">
      <selection activeCell="C10" sqref="C10"/>
    </sheetView>
  </sheetViews>
  <sheetFormatPr defaultColWidth="11.421875" defaultRowHeight="12.75"/>
  <cols>
    <col min="1" max="1" width="4.421875" style="44" customWidth="1"/>
    <col min="2" max="2" width="19.28125" style="44" bestFit="1" customWidth="1"/>
    <col min="3" max="3" width="8.140625" style="44" bestFit="1" customWidth="1"/>
    <col min="4" max="4" width="8.00390625" style="44" hidden="1" customWidth="1"/>
    <col min="5" max="5" width="8.140625" style="44" customWidth="1"/>
    <col min="6" max="6" width="9.421875" style="44" bestFit="1" customWidth="1"/>
    <col min="7" max="7" width="7.8515625" style="44" bestFit="1" customWidth="1"/>
    <col min="8" max="8" width="8.421875" style="44" bestFit="1" customWidth="1"/>
    <col min="9" max="9" width="6.421875" style="44" customWidth="1"/>
    <col min="10" max="10" width="8.57421875" style="44" customWidth="1"/>
    <col min="11" max="11" width="7.00390625" style="44" customWidth="1"/>
    <col min="12" max="12" width="7.140625" style="44" customWidth="1"/>
    <col min="13" max="13" width="6.7109375" style="44" customWidth="1"/>
    <col min="14" max="14" width="6.00390625" style="44" customWidth="1"/>
    <col min="15" max="15" width="8.00390625" style="44" customWidth="1"/>
    <col min="16" max="16384" width="11.421875" style="44" customWidth="1"/>
  </cols>
  <sheetData>
    <row r="1" spans="2:15" s="39" customFormat="1" ht="20.25" customHeight="1">
      <c r="B1" s="114" t="s">
        <v>44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2:15" s="39" customFormat="1" ht="12.75" customHeight="1">
      <c r="B2" s="116" t="s">
        <v>67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5" s="39" customFormat="1" ht="11.25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2:15" s="39" customFormat="1" ht="11.25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2:15" s="39" customFormat="1" ht="11.25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4" s="39" customFormat="1" ht="12" thickBot="1">
      <c r="A6" s="41"/>
      <c r="B6" s="42"/>
      <c r="C6" s="43"/>
      <c r="D6" s="43"/>
      <c r="E6" s="43"/>
      <c r="F6" s="43"/>
      <c r="G6" s="43"/>
      <c r="H6" s="43"/>
      <c r="I6" s="43"/>
      <c r="J6" s="43"/>
      <c r="K6" s="43"/>
      <c r="L6" s="121">
        <f ca="1">TODAY()</f>
        <v>38215</v>
      </c>
      <c r="M6" s="122"/>
      <c r="N6" s="122"/>
    </row>
    <row r="7" spans="2:16" ht="11.25">
      <c r="B7" s="45" t="s">
        <v>33</v>
      </c>
      <c r="C7" s="127"/>
      <c r="D7" s="128"/>
      <c r="E7" s="128"/>
      <c r="F7" s="129"/>
      <c r="G7" s="46" t="s">
        <v>34</v>
      </c>
      <c r="H7" s="123" t="s">
        <v>66</v>
      </c>
      <c r="I7" s="124"/>
      <c r="J7" s="125"/>
      <c r="K7" s="46" t="s">
        <v>35</v>
      </c>
      <c r="L7" s="47"/>
      <c r="M7" s="123">
        <v>155</v>
      </c>
      <c r="N7" s="126"/>
      <c r="P7" s="69"/>
    </row>
    <row r="8" spans="2:14" ht="11.25">
      <c r="B8" s="48"/>
      <c r="C8" s="49"/>
      <c r="D8" s="50"/>
      <c r="E8" s="51"/>
      <c r="F8" s="52"/>
      <c r="G8" s="52"/>
      <c r="H8" s="52"/>
      <c r="I8" s="52"/>
      <c r="J8" s="52"/>
      <c r="K8" s="52"/>
      <c r="L8" s="52"/>
      <c r="M8" s="52"/>
      <c r="N8" s="53"/>
    </row>
    <row r="9" spans="2:14" ht="15.75" customHeight="1">
      <c r="B9" s="54" t="s">
        <v>25</v>
      </c>
      <c r="C9" s="111">
        <v>90</v>
      </c>
      <c r="D9" s="55"/>
      <c r="E9" s="56"/>
      <c r="F9" s="57"/>
      <c r="G9" s="57"/>
      <c r="H9" s="57"/>
      <c r="I9" s="57"/>
      <c r="J9" s="57"/>
      <c r="K9" s="57"/>
      <c r="L9" s="57"/>
      <c r="M9" s="57"/>
      <c r="N9" s="58"/>
    </row>
    <row r="10" spans="2:14" ht="15.75" customHeight="1">
      <c r="B10" s="54" t="s">
        <v>59</v>
      </c>
      <c r="C10" s="112" t="s">
        <v>70</v>
      </c>
      <c r="D10" s="59"/>
      <c r="E10" s="60"/>
      <c r="F10" s="61"/>
      <c r="G10" s="62"/>
      <c r="H10" s="63"/>
      <c r="I10" s="62"/>
      <c r="J10" s="63"/>
      <c r="K10" s="62"/>
      <c r="L10" s="63"/>
      <c r="M10" s="62"/>
      <c r="N10" s="58"/>
    </row>
    <row r="11" spans="1:15" ht="15.75" customHeight="1" thickBot="1">
      <c r="A11" s="34">
        <v>2400</v>
      </c>
      <c r="B11" s="64" t="s">
        <v>65</v>
      </c>
      <c r="C11" s="113">
        <v>1500</v>
      </c>
      <c r="D11" s="65"/>
      <c r="E11" s="66"/>
      <c r="F11" s="67"/>
      <c r="G11" s="67"/>
      <c r="H11" s="67"/>
      <c r="I11" s="67"/>
      <c r="J11" s="67"/>
      <c r="K11" s="67"/>
      <c r="L11" s="67"/>
      <c r="M11" s="67"/>
      <c r="N11" s="68"/>
      <c r="O11" s="69"/>
    </row>
    <row r="12" spans="3:4" ht="11.25">
      <c r="C12" s="71"/>
      <c r="D12" s="71"/>
    </row>
    <row r="13" spans="2:15" ht="12.75" customHeight="1">
      <c r="B13" s="117" t="s">
        <v>68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15" ht="11.25">
      <c r="A14" s="40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</row>
    <row r="15" spans="2:15" ht="12" customHeight="1">
      <c r="B15" s="130" t="s">
        <v>60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2:14" ht="22.5">
      <c r="B16" s="72"/>
      <c r="C16" s="73"/>
      <c r="D16" s="73"/>
      <c r="E16" s="74" t="s">
        <v>32</v>
      </c>
      <c r="F16" s="74" t="s">
        <v>30</v>
      </c>
      <c r="G16" s="74" t="s">
        <v>38</v>
      </c>
      <c r="H16" s="74" t="s">
        <v>31</v>
      </c>
      <c r="I16" s="74" t="s">
        <v>1</v>
      </c>
      <c r="J16" s="75" t="s">
        <v>2</v>
      </c>
      <c r="K16" s="74" t="s">
        <v>3</v>
      </c>
      <c r="L16" s="74" t="s">
        <v>4</v>
      </c>
      <c r="M16" s="74" t="s">
        <v>5</v>
      </c>
      <c r="N16" s="74" t="s">
        <v>6</v>
      </c>
    </row>
    <row r="17" spans="2:14" ht="11.25">
      <c r="B17" s="76" t="s">
        <v>55</v>
      </c>
      <c r="C17" s="77"/>
      <c r="D17" s="77"/>
      <c r="E17" s="78">
        <f>IF(C11&gt;0,C9*10+1400,C9*10+800)</f>
        <v>2300</v>
      </c>
      <c r="F17" s="78">
        <f>E17/100*18</f>
        <v>414</v>
      </c>
      <c r="G17" s="78">
        <f>E17/100*12</f>
        <v>276</v>
      </c>
      <c r="H17" s="78">
        <f>IF(C11&gt;0,C9*1+15,C9*1+35)</f>
        <v>105</v>
      </c>
      <c r="I17" s="79">
        <f>IF(C11&gt;0,C9*0.06+1.1,C9*0.06+2.1)</f>
        <v>6.5</v>
      </c>
      <c r="J17" s="78">
        <f>C9*10</f>
        <v>900</v>
      </c>
      <c r="K17" s="79">
        <v>7.5</v>
      </c>
      <c r="L17" s="79">
        <f>IF(C11&gt;0,5.5,6)</f>
        <v>5.5</v>
      </c>
      <c r="M17" s="79">
        <v>1.5</v>
      </c>
      <c r="N17" s="79">
        <v>1.5</v>
      </c>
    </row>
    <row r="18" spans="2:14" ht="11.25">
      <c r="B18" s="76" t="s">
        <v>56</v>
      </c>
      <c r="C18" s="77"/>
      <c r="D18" s="77"/>
      <c r="E18" s="78">
        <f>IF(C10="hoch",100,0)</f>
        <v>0</v>
      </c>
      <c r="F18" s="78">
        <f>E18/100*18</f>
        <v>0</v>
      </c>
      <c r="G18" s="78">
        <f>E18/100*12</f>
        <v>0</v>
      </c>
      <c r="H18" s="78">
        <f>IF(C10="hoch",55,0)</f>
        <v>0</v>
      </c>
      <c r="I18" s="79">
        <f>IF(C10="hoch",2.7,0)</f>
        <v>0</v>
      </c>
      <c r="J18" s="78"/>
      <c r="K18" s="79">
        <f>IF(C10="hoch",7.5,0)</f>
        <v>0</v>
      </c>
      <c r="L18" s="79"/>
      <c r="M18" s="79"/>
      <c r="N18" s="79"/>
    </row>
    <row r="19" spans="2:14" ht="11.25">
      <c r="B19" s="76" t="s">
        <v>57</v>
      </c>
      <c r="C19" s="77"/>
      <c r="D19" s="77"/>
      <c r="E19" s="78">
        <f>C11/1000*133.4</f>
        <v>200.10000000000002</v>
      </c>
      <c r="F19" s="78">
        <f>E19/100*18</f>
        <v>36.01800000000001</v>
      </c>
      <c r="G19" s="78">
        <f>E19/100*12</f>
        <v>24.012000000000004</v>
      </c>
      <c r="H19" s="78">
        <f>C11/1000*105</f>
        <v>157.5</v>
      </c>
      <c r="I19" s="79">
        <f>C11/1000*4.2</f>
        <v>6.300000000000001</v>
      </c>
      <c r="J19" s="78">
        <f>C11/1000*450</f>
        <v>675</v>
      </c>
      <c r="K19" s="79">
        <f>C11/1000*6.3</f>
        <v>9.45</v>
      </c>
      <c r="L19" s="79">
        <f>C11/1000*2.5</f>
        <v>3.75</v>
      </c>
      <c r="M19" s="79">
        <f>C11/1000*0.5</f>
        <v>0.75</v>
      </c>
      <c r="N19" s="79">
        <f>C11/1000*0.5</f>
        <v>0.75</v>
      </c>
    </row>
    <row r="20" spans="2:14" ht="11.25">
      <c r="B20" s="80" t="s">
        <v>58</v>
      </c>
      <c r="C20" s="81"/>
      <c r="D20" s="81"/>
      <c r="E20" s="82">
        <f>SUM(E17:E19)</f>
        <v>2500.1</v>
      </c>
      <c r="F20" s="82">
        <f>SUM(F17:F19)</f>
        <v>450.01800000000003</v>
      </c>
      <c r="G20" s="82">
        <f>SUM(G17:G19)</f>
        <v>300.012</v>
      </c>
      <c r="H20" s="82">
        <f aca="true" t="shared" si="0" ref="H20:N20">SUM(H17:H19)</f>
        <v>262.5</v>
      </c>
      <c r="I20" s="83">
        <f t="shared" si="0"/>
        <v>12.8</v>
      </c>
      <c r="J20" s="82">
        <f t="shared" si="0"/>
        <v>1575</v>
      </c>
      <c r="K20" s="83">
        <f t="shared" si="0"/>
        <v>16.95</v>
      </c>
      <c r="L20" s="83">
        <f t="shared" si="0"/>
        <v>9.25</v>
      </c>
      <c r="M20" s="83">
        <f t="shared" si="0"/>
        <v>2.25</v>
      </c>
      <c r="N20" s="83">
        <f t="shared" si="0"/>
        <v>2.25</v>
      </c>
    </row>
    <row r="21" ht="15.75" customHeight="1"/>
    <row r="22" spans="1:16" ht="34.5" customHeight="1">
      <c r="A22" s="84"/>
      <c r="B22" s="85" t="s">
        <v>69</v>
      </c>
      <c r="C22" s="86" t="s">
        <v>62</v>
      </c>
      <c r="D22" s="86" t="s">
        <v>63</v>
      </c>
      <c r="E22" s="86" t="s">
        <v>32</v>
      </c>
      <c r="F22" s="86" t="s">
        <v>30</v>
      </c>
      <c r="G22" s="86" t="s">
        <v>38</v>
      </c>
      <c r="H22" s="86" t="s">
        <v>31</v>
      </c>
      <c r="I22" s="86" t="s">
        <v>1</v>
      </c>
      <c r="J22" s="87" t="s">
        <v>2</v>
      </c>
      <c r="K22" s="86" t="s">
        <v>3</v>
      </c>
      <c r="L22" s="86" t="s">
        <v>4</v>
      </c>
      <c r="M22" s="86" t="s">
        <v>5</v>
      </c>
      <c r="N22" s="86" t="s">
        <v>6</v>
      </c>
      <c r="O22" s="88" t="s">
        <v>45</v>
      </c>
      <c r="P22" s="89"/>
    </row>
    <row r="23" spans="1:15" ht="18.75" customHeight="1">
      <c r="A23" s="44">
        <v>14</v>
      </c>
      <c r="B23" s="142" t="s">
        <v>51</v>
      </c>
      <c r="C23" s="70">
        <v>5000</v>
      </c>
      <c r="D23" s="91">
        <f>C23/1000</f>
        <v>5</v>
      </c>
      <c r="E23" s="92">
        <f>VLOOKUP(B23,Futtermittel,2,FALSE)*D23</f>
        <v>900</v>
      </c>
      <c r="F23" s="92">
        <f>VLOOKUP(B23,Futtermittel,3,FALSE)*D23</f>
        <v>270</v>
      </c>
      <c r="G23" s="92">
        <f>VLOOKUP(B23,Futtermittel,4,FALSE)*D23</f>
        <v>270</v>
      </c>
      <c r="H23" s="92">
        <f>VLOOKUP(B23,Futtermittel,5,FALSE)*D23</f>
        <v>130</v>
      </c>
      <c r="I23" s="93">
        <f>VLOOKUP(B23,Futtermittel,6,FALSE)*D23</f>
        <v>4.95</v>
      </c>
      <c r="J23" s="92">
        <f>VLOOKUP(B23,Futtermittel,7,FALSE)*D23</f>
        <v>480</v>
      </c>
      <c r="K23" s="93">
        <f>VLOOKUP(B23,Futtermittel,8,FALSE)*D23</f>
        <v>5.05</v>
      </c>
      <c r="L23" s="93">
        <f>VLOOKUP(B23,Futtermittel,9,FALSE)*D23</f>
        <v>5.5</v>
      </c>
      <c r="M23" s="93">
        <f>VLOOKUP(B23,Futtermittel,10,FALSE)*D23</f>
        <v>1.5</v>
      </c>
      <c r="N23" s="93">
        <f>VLOOKUP(B23,Futtermittel,11,FALSE)*D23</f>
        <v>1.5</v>
      </c>
      <c r="O23" s="94">
        <f>VLOOKUP(B23,Futtermittel,12,FALSE)*D23</f>
        <v>0</v>
      </c>
    </row>
    <row r="24" spans="1:15" ht="18.75" customHeight="1">
      <c r="A24" s="44">
        <v>14</v>
      </c>
      <c r="B24" s="142" t="s">
        <v>9</v>
      </c>
      <c r="C24" s="70">
        <v>0</v>
      </c>
      <c r="D24" s="91">
        <f>C24/1000</f>
        <v>0</v>
      </c>
      <c r="E24" s="92">
        <f>VLOOKUP(B24,Futtermittel,2,FALSE)*D24</f>
        <v>0</v>
      </c>
      <c r="F24" s="92">
        <f>VLOOKUP(B24,Futtermittel,3,FALSE)*D24</f>
        <v>0</v>
      </c>
      <c r="G24" s="92">
        <f>VLOOKUP(B24,Futtermittel,4,FALSE)*D24</f>
        <v>0</v>
      </c>
      <c r="H24" s="92">
        <f>VLOOKUP(B24,Futtermittel,5,FALSE)*D24</f>
        <v>0</v>
      </c>
      <c r="I24" s="93">
        <f>VLOOKUP(B24,Futtermittel,6,FALSE)*D24</f>
        <v>0</v>
      </c>
      <c r="J24" s="92">
        <f>VLOOKUP(B24,Futtermittel,7,FALSE)*D24</f>
        <v>0</v>
      </c>
      <c r="K24" s="93">
        <f>VLOOKUP(B24,Futtermittel,8,FALSE)*D24</f>
        <v>0</v>
      </c>
      <c r="L24" s="93">
        <f>VLOOKUP(B24,Futtermittel,9,FALSE)*D24</f>
        <v>0</v>
      </c>
      <c r="M24" s="93">
        <f>VLOOKUP(B24,Futtermittel,10,FALSE)*D24</f>
        <v>0</v>
      </c>
      <c r="N24" s="93">
        <f>VLOOKUP(B24,Futtermittel,11,FALSE)*D24</f>
        <v>0</v>
      </c>
      <c r="O24" s="94">
        <f>VLOOKUP(B24,Futtermittel,12,FALSE)*D24</f>
        <v>0</v>
      </c>
    </row>
    <row r="25" spans="1:15" ht="18.75" customHeight="1">
      <c r="A25" s="44">
        <v>14</v>
      </c>
      <c r="B25" s="142" t="s">
        <v>13</v>
      </c>
      <c r="C25" s="70">
        <v>1820</v>
      </c>
      <c r="D25" s="91">
        <f>C25/1000</f>
        <v>1.82</v>
      </c>
      <c r="E25" s="92">
        <f>VLOOKUP(B25,Futtermittel,2,FALSE)*D25</f>
        <v>1583.4</v>
      </c>
      <c r="F25" s="92">
        <f>VLOOKUP(B25,Futtermittel,3,FALSE)*D25</f>
        <v>185.64000000000001</v>
      </c>
      <c r="G25" s="92">
        <f>VLOOKUP(B25,Futtermittel,4,FALSE)*D25</f>
        <v>0</v>
      </c>
      <c r="H25" s="92">
        <f>VLOOKUP(B25,Futtermittel,5,FALSE)*D25</f>
        <v>203.84</v>
      </c>
      <c r="I25" s="93">
        <f>VLOOKUP(B25,Futtermittel,6,FALSE)*D25</f>
        <v>12.2304</v>
      </c>
      <c r="J25" s="92">
        <f>VLOOKUP(B25,Futtermittel,7,FALSE)*D25</f>
        <v>1122.94</v>
      </c>
      <c r="K25" s="93">
        <f>VLOOKUP(B25,Futtermittel,8,FALSE)*D25</f>
        <v>2.0020000000000002</v>
      </c>
      <c r="L25" s="93">
        <f>VLOOKUP(B25,Futtermittel,9,FALSE)*D25</f>
        <v>5.46</v>
      </c>
      <c r="M25" s="93">
        <f>VLOOKUP(B25,Futtermittel,10,FALSE)*D25</f>
        <v>0.6188</v>
      </c>
      <c r="N25" s="93">
        <f>VLOOKUP(B25,Futtermittel,11,FALSE)*D25</f>
        <v>2.184</v>
      </c>
      <c r="O25" s="94">
        <f>VLOOKUP(B25,Futtermittel,12,FALSE)*D25</f>
        <v>0.7280000000000001</v>
      </c>
    </row>
    <row r="26" spans="1:15" ht="18.75" customHeight="1">
      <c r="A26" s="44">
        <v>14</v>
      </c>
      <c r="B26" s="142" t="s">
        <v>41</v>
      </c>
      <c r="C26" s="70">
        <v>80</v>
      </c>
      <c r="D26" s="91">
        <f>C26/1000</f>
        <v>0.08</v>
      </c>
      <c r="E26" s="92">
        <f>VLOOKUP(B26,Futtermittel,2,FALSE)*D26</f>
        <v>70.4</v>
      </c>
      <c r="F26" s="92">
        <f>VLOOKUP(B26,Futtermittel,3,FALSE)*D26</f>
        <v>6.32</v>
      </c>
      <c r="G26" s="92">
        <f>VLOOKUP(B26,Futtermittel,4,FALSE)*D26</f>
        <v>0</v>
      </c>
      <c r="H26" s="92">
        <f>VLOOKUP(B26,Futtermittel,5,FALSE)*D26</f>
        <v>21.2</v>
      </c>
      <c r="I26" s="93">
        <f>VLOOKUP(B26,Futtermittel,6,FALSE)*D26</f>
        <v>0.5712</v>
      </c>
      <c r="J26" s="92">
        <f>VLOOKUP(B26,Futtermittel,7,FALSE)*D26</f>
        <v>56.56</v>
      </c>
      <c r="K26" s="93">
        <f>VLOOKUP(B26,Futtermittel,8,FALSE)*D26</f>
        <v>0.11199999999999999</v>
      </c>
      <c r="L26" s="93">
        <f>VLOOKUP(B26,Futtermittel,9,FALSE)*D26</f>
        <v>0.336</v>
      </c>
      <c r="M26" s="93">
        <f>VLOOKUP(B26,Futtermittel,10,FALSE)*D26</f>
        <v>0.024</v>
      </c>
      <c r="N26" s="93">
        <f>VLOOKUP(B26,Futtermittel,11,FALSE)*D26</f>
        <v>0.08800000000000001</v>
      </c>
      <c r="O26" s="94">
        <f>VLOOKUP(B26,Futtermittel,12,FALSE)*D26</f>
        <v>0</v>
      </c>
    </row>
    <row r="27" spans="1:15" ht="18.75" customHeight="1">
      <c r="A27" s="44">
        <v>14</v>
      </c>
      <c r="B27" s="142" t="s">
        <v>61</v>
      </c>
      <c r="C27" s="70">
        <v>150</v>
      </c>
      <c r="D27" s="91">
        <f>C27/1000</f>
        <v>0.15</v>
      </c>
      <c r="E27" s="92">
        <f>VLOOKUP(B27,Futtermittel,2,FALSE)*D27</f>
        <v>0</v>
      </c>
      <c r="F27" s="92">
        <f>VLOOKUP(B27,Futtermittel,3,FALSE)*D27</f>
        <v>0</v>
      </c>
      <c r="G27" s="92">
        <f>VLOOKUP(B27,Futtermittel,4,FALSE)*D27</f>
        <v>0</v>
      </c>
      <c r="H27" s="92">
        <f>VLOOKUP(B27,Futtermittel,5,FALSE)*D27</f>
        <v>0</v>
      </c>
      <c r="I27" s="93">
        <f>VLOOKUP(B27,Futtermittel,6,FALSE)*D27</f>
        <v>0</v>
      </c>
      <c r="J27" s="92">
        <f>VLOOKUP(B27,Futtermittel,7,FALSE)*D27</f>
        <v>0</v>
      </c>
      <c r="K27" s="93">
        <f>VLOOKUP(B27,Futtermittel,8,FALSE)*D27</f>
        <v>0</v>
      </c>
      <c r="L27" s="93">
        <f>VLOOKUP(B27,Futtermittel,9,FALSE)*D27</f>
        <v>0</v>
      </c>
      <c r="M27" s="93">
        <f>VLOOKUP(B27,Futtermittel,10,FALSE)*D27</f>
        <v>0</v>
      </c>
      <c r="N27" s="93">
        <f>VLOOKUP(B27,Futtermittel,11,FALSE)*D27</f>
        <v>0</v>
      </c>
      <c r="O27" s="94">
        <f>VLOOKUP(B27,Futtermittel,12,FALSE)*D27</f>
        <v>0</v>
      </c>
    </row>
    <row r="28" spans="2:15" ht="11.25">
      <c r="B28" s="95" t="s">
        <v>26</v>
      </c>
      <c r="C28" s="96">
        <f>SUM(C23:C27)</f>
        <v>7050</v>
      </c>
      <c r="D28" s="97">
        <f>SUM(D23:D27)</f>
        <v>7.050000000000001</v>
      </c>
      <c r="E28" s="96">
        <f aca="true" t="shared" si="1" ref="E28:N28">SUM(SUM(E23:E27))</f>
        <v>2553.8</v>
      </c>
      <c r="F28" s="96">
        <f t="shared" si="1"/>
        <v>461.96</v>
      </c>
      <c r="G28" s="96">
        <f t="shared" si="1"/>
        <v>270</v>
      </c>
      <c r="H28" s="96">
        <f t="shared" si="1"/>
        <v>355.04</v>
      </c>
      <c r="I28" s="98">
        <f t="shared" si="1"/>
        <v>17.7516</v>
      </c>
      <c r="J28" s="96">
        <f t="shared" si="1"/>
        <v>1659.5</v>
      </c>
      <c r="K28" s="98">
        <f t="shared" si="1"/>
        <v>7.164</v>
      </c>
      <c r="L28" s="98">
        <f t="shared" si="1"/>
        <v>11.296000000000001</v>
      </c>
      <c r="M28" s="98">
        <f t="shared" si="1"/>
        <v>2.1428000000000003</v>
      </c>
      <c r="N28" s="98">
        <f t="shared" si="1"/>
        <v>3.7720000000000002</v>
      </c>
      <c r="O28" s="99">
        <f>SUM(O23:O27)</f>
        <v>0.7280000000000001</v>
      </c>
    </row>
    <row r="29" spans="2:15" ht="11.25">
      <c r="B29" s="80" t="s">
        <v>43</v>
      </c>
      <c r="C29" s="81"/>
      <c r="D29" s="81"/>
      <c r="E29" s="82">
        <f aca="true" t="shared" si="2" ref="E29:N29">E20</f>
        <v>2500.1</v>
      </c>
      <c r="F29" s="82">
        <f t="shared" si="2"/>
        <v>450.01800000000003</v>
      </c>
      <c r="G29" s="82">
        <f t="shared" si="2"/>
        <v>300.012</v>
      </c>
      <c r="H29" s="82">
        <f t="shared" si="2"/>
        <v>262.5</v>
      </c>
      <c r="I29" s="83">
        <f t="shared" si="2"/>
        <v>12.8</v>
      </c>
      <c r="J29" s="82">
        <f t="shared" si="2"/>
        <v>1575</v>
      </c>
      <c r="K29" s="83">
        <f t="shared" si="2"/>
        <v>16.95</v>
      </c>
      <c r="L29" s="83">
        <f t="shared" si="2"/>
        <v>9.25</v>
      </c>
      <c r="M29" s="83">
        <f t="shared" si="2"/>
        <v>2.25</v>
      </c>
      <c r="N29" s="83">
        <f t="shared" si="2"/>
        <v>2.25</v>
      </c>
      <c r="O29" s="84"/>
    </row>
    <row r="30" spans="2:15" ht="11.25">
      <c r="B30" s="90" t="s">
        <v>36</v>
      </c>
      <c r="C30" s="100"/>
      <c r="D30" s="100"/>
      <c r="E30" s="101">
        <f aca="true" t="shared" si="3" ref="E30:N30">E28-E29</f>
        <v>53.70000000000027</v>
      </c>
      <c r="F30" s="101">
        <f t="shared" si="3"/>
        <v>11.94199999999995</v>
      </c>
      <c r="G30" s="101">
        <f t="shared" si="3"/>
        <v>-30.012</v>
      </c>
      <c r="H30" s="101">
        <f t="shared" si="3"/>
        <v>92.54000000000002</v>
      </c>
      <c r="I30" s="101">
        <f t="shared" si="3"/>
        <v>4.951599999999999</v>
      </c>
      <c r="J30" s="101">
        <f t="shared" si="3"/>
        <v>84.5</v>
      </c>
      <c r="K30" s="101">
        <f t="shared" si="3"/>
        <v>-9.786</v>
      </c>
      <c r="L30" s="101">
        <f t="shared" si="3"/>
        <v>2.046000000000001</v>
      </c>
      <c r="M30" s="101">
        <f t="shared" si="3"/>
        <v>-0.10719999999999974</v>
      </c>
      <c r="N30" s="101">
        <f t="shared" si="3"/>
        <v>1.5220000000000002</v>
      </c>
      <c r="O30" s="84"/>
    </row>
    <row r="32" spans="2:5" ht="11.25">
      <c r="B32" s="118" t="s">
        <v>64</v>
      </c>
      <c r="C32" s="119"/>
      <c r="D32" s="119"/>
      <c r="E32" s="120"/>
    </row>
    <row r="33" spans="2:5" ht="11.25">
      <c r="B33" s="102"/>
      <c r="C33" s="103" t="s">
        <v>53</v>
      </c>
      <c r="D33" s="103"/>
      <c r="E33" s="104" t="s">
        <v>54</v>
      </c>
    </row>
    <row r="34" spans="2:5" ht="11.25">
      <c r="B34" s="105" t="s">
        <v>27</v>
      </c>
      <c r="C34" s="106">
        <f>F28/E28*100</f>
        <v>18.089122092567937</v>
      </c>
      <c r="D34" s="106"/>
      <c r="E34" s="81">
        <v>18</v>
      </c>
    </row>
    <row r="35" spans="2:5" ht="11.25">
      <c r="B35" s="105" t="s">
        <v>42</v>
      </c>
      <c r="C35" s="106">
        <f>G28/E28*100</f>
        <v>10.572480225546244</v>
      </c>
      <c r="D35" s="106"/>
      <c r="E35" s="81">
        <v>12</v>
      </c>
    </row>
    <row r="36" spans="2:5" ht="11.25">
      <c r="B36" s="105" t="s">
        <v>40</v>
      </c>
      <c r="C36" s="106">
        <f>L28/K28</f>
        <v>1.5767727526521498</v>
      </c>
      <c r="D36" s="106"/>
      <c r="E36" s="80">
        <v>1.5</v>
      </c>
    </row>
    <row r="37" spans="2:5" ht="11.25">
      <c r="B37" s="105" t="s">
        <v>39</v>
      </c>
      <c r="C37" s="107">
        <f>H28/J28</f>
        <v>0.21394395902380237</v>
      </c>
      <c r="D37" s="107"/>
      <c r="E37" s="108">
        <v>0.16666666666666666</v>
      </c>
    </row>
    <row r="38" spans="2:5" ht="11.25">
      <c r="B38" s="105" t="s">
        <v>46</v>
      </c>
      <c r="C38" s="109">
        <f>O28</f>
        <v>0.7280000000000001</v>
      </c>
      <c r="D38" s="110"/>
      <c r="E38" s="90"/>
    </row>
  </sheetData>
  <sheetProtection password="C772" sheet="1" objects="1" scenarios="1" selectLockedCells="1"/>
  <mergeCells count="9">
    <mergeCell ref="B1:O1"/>
    <mergeCell ref="B2:O5"/>
    <mergeCell ref="B13:O14"/>
    <mergeCell ref="B32:E32"/>
    <mergeCell ref="L6:N6"/>
    <mergeCell ref="H7:J7"/>
    <mergeCell ref="M7:N7"/>
    <mergeCell ref="C7:F7"/>
    <mergeCell ref="B15:O15"/>
  </mergeCells>
  <conditionalFormatting sqref="F30">
    <cfRule type="cellIs" priority="1" dxfId="0" operator="lessThan" stopIfTrue="1">
      <formula>0</formula>
    </cfRule>
  </conditionalFormatting>
  <dataValidations count="6">
    <dataValidation type="list" allowBlank="1" showInputMessage="1" showErrorMessage="1" prompt="Wähle aus Liste" sqref="D10">
      <formula1>"güst,nieder,hoch"</formula1>
    </dataValidation>
    <dataValidation type="list" allowBlank="1" showInputMessage="1" showErrorMessage="1" prompt="Wähle aus Liste" error="Dieses Futtermittel ist unbekannt.&#10;Bitte aus der Liste wählen !" sqref="B23:B27">
      <formula1>Futternamen</formula1>
    </dataValidation>
    <dataValidation type="decimal" allowBlank="1" showInputMessage="1" showErrorMessage="1" sqref="C23:D28">
      <formula1>0</formula1>
      <formula2>10000</formula2>
    </dataValidation>
    <dataValidation type="list" allowBlank="1" showErrorMessage="1" error="Wähle den Trächtigkeitszustand aus der Liste !" sqref="C10">
      <formula1>"güst,nieder,hoch"</formula1>
    </dataValidation>
    <dataValidation type="decimal" allowBlank="1" showInputMessage="1" showErrorMessage="1" error="Überprüfen Sie bitte die Eingabe der Milchleistung.&#10;Nur Werte zwischen 0 und 6000g erlaubt !" sqref="C11">
      <formula1>0</formula1>
      <formula2>6000</formula2>
    </dataValidation>
    <dataValidation type="decimal" allowBlank="1" showInputMessage="1" showErrorMessage="1" error="Überprüfen Sie bitte den Wert für das Körpergewicht !&#10;Nur Werte zwischen 10kg und 160kg erlaubt." sqref="C9">
      <formula1>10</formula1>
      <formula2>160</formula2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O27"/>
  <sheetViews>
    <sheetView workbookViewId="0" topLeftCell="A1">
      <selection activeCell="B18" sqref="B18"/>
    </sheetView>
  </sheetViews>
  <sheetFormatPr defaultColWidth="11.421875" defaultRowHeight="12.75"/>
  <cols>
    <col min="1" max="1" width="10.7109375" style="0" customWidth="1"/>
    <col min="2" max="2" width="19.28125" style="0" customWidth="1"/>
    <col min="3" max="3" width="4.00390625" style="0" customWidth="1"/>
    <col min="4" max="4" width="5.7109375" style="0" customWidth="1"/>
    <col min="5" max="5" width="8.28125" style="0" customWidth="1"/>
    <col min="6" max="6" width="8.140625" style="0" customWidth="1"/>
    <col min="7" max="7" width="4.57421875" style="0" customWidth="1"/>
    <col min="8" max="8" width="4.00390625" style="1" customWidth="1"/>
    <col min="9" max="11" width="4.57421875" style="0" customWidth="1"/>
    <col min="12" max="12" width="5.57421875" style="0" customWidth="1"/>
    <col min="13" max="13" width="7.140625" style="0" customWidth="1"/>
  </cols>
  <sheetData>
    <row r="1" spans="1:13" ht="12.7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12.75">
      <c r="A2" s="136" t="s">
        <v>8</v>
      </c>
      <c r="B2" s="137"/>
      <c r="C2" s="9"/>
      <c r="D2" s="10"/>
      <c r="E2" s="10"/>
      <c r="F2" s="10"/>
      <c r="G2" s="10"/>
      <c r="H2" s="11"/>
      <c r="I2" s="10"/>
      <c r="J2" s="10"/>
      <c r="K2" s="10"/>
      <c r="L2" s="10"/>
      <c r="M2" s="12"/>
    </row>
    <row r="3" spans="1:13" ht="12.75" customHeight="1">
      <c r="A3" s="138"/>
      <c r="B3" s="139"/>
      <c r="C3" s="13"/>
      <c r="D3" s="2"/>
      <c r="E3" s="2"/>
      <c r="F3" s="2"/>
      <c r="G3" s="2"/>
      <c r="H3" s="3"/>
      <c r="I3" s="2"/>
      <c r="J3" s="2"/>
      <c r="K3" s="2"/>
      <c r="L3" s="2"/>
      <c r="M3" s="35"/>
    </row>
    <row r="4" spans="1:13" ht="12.75">
      <c r="A4" s="138"/>
      <c r="B4" s="139"/>
      <c r="C4" s="134" t="s">
        <v>7</v>
      </c>
      <c r="D4" s="135"/>
      <c r="E4" s="135"/>
      <c r="F4" s="135"/>
      <c r="G4" s="135"/>
      <c r="H4" s="135"/>
      <c r="I4" s="4"/>
      <c r="J4" s="2"/>
      <c r="K4" s="2"/>
      <c r="L4" s="2"/>
      <c r="M4" s="35"/>
    </row>
    <row r="5" spans="1:13" ht="12.75">
      <c r="A5" s="138"/>
      <c r="B5" s="139"/>
      <c r="C5" s="14"/>
      <c r="D5" s="15"/>
      <c r="E5" s="15"/>
      <c r="F5" s="15"/>
      <c r="G5" s="15"/>
      <c r="H5" s="16"/>
      <c r="I5" s="15"/>
      <c r="J5" s="15"/>
      <c r="K5" s="15"/>
      <c r="L5" s="15"/>
      <c r="M5" s="36"/>
    </row>
    <row r="6" spans="1:13" ht="26.25" thickBot="1">
      <c r="A6" s="140"/>
      <c r="B6" s="141"/>
      <c r="C6" s="26" t="s">
        <v>32</v>
      </c>
      <c r="D6" s="26" t="s">
        <v>30</v>
      </c>
      <c r="E6" s="26" t="s">
        <v>29</v>
      </c>
      <c r="F6" s="26" t="s">
        <v>31</v>
      </c>
      <c r="G6" s="26" t="s">
        <v>1</v>
      </c>
      <c r="H6" s="27" t="s">
        <v>2</v>
      </c>
      <c r="I6" s="26" t="s">
        <v>3</v>
      </c>
      <c r="J6" s="26" t="s">
        <v>4</v>
      </c>
      <c r="K6" s="26" t="s">
        <v>5</v>
      </c>
      <c r="L6" s="26" t="s">
        <v>6</v>
      </c>
      <c r="M6" s="28" t="s">
        <v>37</v>
      </c>
    </row>
    <row r="7" spans="1:13" ht="13.5" thickBot="1">
      <c r="A7" s="37"/>
      <c r="B7" s="38" t="s">
        <v>61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3">
        <v>0</v>
      </c>
    </row>
    <row r="8" spans="1:13" ht="13.5" thickBot="1">
      <c r="A8" s="30" t="s">
        <v>49</v>
      </c>
      <c r="B8" s="18" t="s">
        <v>50</v>
      </c>
      <c r="C8" s="18">
        <v>150</v>
      </c>
      <c r="D8" s="18">
        <v>27</v>
      </c>
      <c r="E8" s="18">
        <v>27</v>
      </c>
      <c r="F8" s="18">
        <v>28</v>
      </c>
      <c r="G8" s="19">
        <v>1.08</v>
      </c>
      <c r="H8" s="20">
        <v>105</v>
      </c>
      <c r="I8" s="19">
        <v>0.7</v>
      </c>
      <c r="J8" s="19">
        <v>0.6</v>
      </c>
      <c r="K8" s="19">
        <v>0.2</v>
      </c>
      <c r="L8" s="19">
        <v>0.3</v>
      </c>
      <c r="M8" s="21">
        <v>0</v>
      </c>
    </row>
    <row r="9" spans="1:13" ht="13.5" thickBot="1">
      <c r="A9" s="29"/>
      <c r="B9" s="22" t="s">
        <v>51</v>
      </c>
      <c r="C9" s="22">
        <v>180</v>
      </c>
      <c r="D9" s="22">
        <v>54</v>
      </c>
      <c r="E9" s="22">
        <v>54</v>
      </c>
      <c r="F9" s="22">
        <v>26</v>
      </c>
      <c r="G9" s="23">
        <v>0.99</v>
      </c>
      <c r="H9" s="24">
        <v>96</v>
      </c>
      <c r="I9" s="23">
        <v>1.01</v>
      </c>
      <c r="J9" s="23">
        <v>1.1</v>
      </c>
      <c r="K9" s="23">
        <v>0.3</v>
      </c>
      <c r="L9" s="23">
        <v>0.3</v>
      </c>
      <c r="M9" s="25">
        <v>0</v>
      </c>
    </row>
    <row r="10" spans="1:14" ht="13.5" thickBot="1">
      <c r="A10" s="31" t="s">
        <v>22</v>
      </c>
      <c r="B10" s="6" t="s">
        <v>9</v>
      </c>
      <c r="C10" s="6">
        <v>860</v>
      </c>
      <c r="D10" s="6">
        <v>249</v>
      </c>
      <c r="E10" s="6">
        <v>249</v>
      </c>
      <c r="F10" s="6">
        <v>116</v>
      </c>
      <c r="G10" s="7">
        <v>4.64</v>
      </c>
      <c r="H10" s="8">
        <v>378</v>
      </c>
      <c r="I10" s="7">
        <v>3.2</v>
      </c>
      <c r="J10" s="7">
        <v>2.8</v>
      </c>
      <c r="K10" s="7">
        <v>1.9</v>
      </c>
      <c r="L10" s="7">
        <v>10.4</v>
      </c>
      <c r="M10" s="17">
        <v>0.3</v>
      </c>
      <c r="N10" s="5"/>
    </row>
    <row r="11" spans="1:13" ht="12.75">
      <c r="A11" s="29"/>
      <c r="B11" s="6" t="s">
        <v>10</v>
      </c>
      <c r="C11" s="6">
        <v>860</v>
      </c>
      <c r="D11" s="6">
        <v>284</v>
      </c>
      <c r="E11" s="6">
        <v>284</v>
      </c>
      <c r="F11" s="6">
        <v>103</v>
      </c>
      <c r="G11" s="7">
        <v>4.3</v>
      </c>
      <c r="H11" s="8">
        <v>344</v>
      </c>
      <c r="I11" s="7">
        <v>3.2</v>
      </c>
      <c r="J11" s="7">
        <v>2.8</v>
      </c>
      <c r="K11" s="7">
        <v>2</v>
      </c>
      <c r="L11" s="7">
        <v>10.4</v>
      </c>
      <c r="M11" s="17">
        <v>0.3</v>
      </c>
    </row>
    <row r="12" spans="1:13" ht="12.75">
      <c r="A12" s="29"/>
      <c r="B12" s="6" t="s">
        <v>11</v>
      </c>
      <c r="C12" s="6">
        <v>860</v>
      </c>
      <c r="D12" s="6">
        <v>310</v>
      </c>
      <c r="E12" s="6">
        <v>310</v>
      </c>
      <c r="F12" s="6">
        <v>86</v>
      </c>
      <c r="G12" s="7">
        <v>4.13</v>
      </c>
      <c r="H12" s="8">
        <v>310</v>
      </c>
      <c r="I12" s="7">
        <v>3.1</v>
      </c>
      <c r="J12" s="7">
        <v>2.8</v>
      </c>
      <c r="K12" s="7">
        <v>1.6</v>
      </c>
      <c r="L12" s="7">
        <v>10.3</v>
      </c>
      <c r="M12" s="17">
        <v>0.3</v>
      </c>
    </row>
    <row r="13" spans="1:13" ht="12.75">
      <c r="A13" s="29"/>
      <c r="B13" s="6" t="s">
        <v>19</v>
      </c>
      <c r="C13" s="6">
        <v>860</v>
      </c>
      <c r="D13" s="6">
        <v>384</v>
      </c>
      <c r="E13" s="6">
        <v>384</v>
      </c>
      <c r="F13" s="6">
        <v>30</v>
      </c>
      <c r="G13" s="7">
        <v>3.07</v>
      </c>
      <c r="H13" s="8">
        <v>267</v>
      </c>
      <c r="I13" s="7">
        <v>3.5</v>
      </c>
      <c r="J13" s="7">
        <v>1.2</v>
      </c>
      <c r="K13" s="7">
        <v>2</v>
      </c>
      <c r="L13" s="7">
        <v>1</v>
      </c>
      <c r="M13" s="17">
        <v>0.15</v>
      </c>
    </row>
    <row r="14" spans="1:15" ht="12.75">
      <c r="A14" s="29"/>
      <c r="B14" s="6" t="s">
        <v>20</v>
      </c>
      <c r="C14" s="6">
        <v>860</v>
      </c>
      <c r="D14" s="6">
        <v>388</v>
      </c>
      <c r="E14" s="6">
        <v>388</v>
      </c>
      <c r="F14" s="6">
        <v>28</v>
      </c>
      <c r="G14" s="7">
        <v>3.1</v>
      </c>
      <c r="H14" s="8">
        <v>273</v>
      </c>
      <c r="I14" s="7">
        <v>2.7</v>
      </c>
      <c r="J14" s="7">
        <v>0.7</v>
      </c>
      <c r="K14" s="7">
        <v>1.1</v>
      </c>
      <c r="L14" s="7">
        <v>0.9</v>
      </c>
      <c r="M14" s="17">
        <v>0.15</v>
      </c>
      <c r="O14" s="5"/>
    </row>
    <row r="15" spans="1:13" ht="13.5" thickBot="1">
      <c r="A15" s="29"/>
      <c r="B15" s="6" t="s">
        <v>21</v>
      </c>
      <c r="C15" s="6">
        <v>860</v>
      </c>
      <c r="D15" s="6">
        <v>377</v>
      </c>
      <c r="E15" s="6">
        <v>377</v>
      </c>
      <c r="F15" s="6">
        <v>33</v>
      </c>
      <c r="G15" s="7">
        <v>3.35</v>
      </c>
      <c r="H15" s="8">
        <v>292</v>
      </c>
      <c r="I15" s="7">
        <v>4.1</v>
      </c>
      <c r="J15" s="7">
        <v>0.7</v>
      </c>
      <c r="K15" s="7">
        <v>3.2</v>
      </c>
      <c r="L15" s="7">
        <v>0.8</v>
      </c>
      <c r="M15" s="17">
        <v>0.15</v>
      </c>
    </row>
    <row r="16" spans="1:13" ht="13.5" thickBot="1">
      <c r="A16" s="30" t="s">
        <v>23</v>
      </c>
      <c r="B16" s="6" t="s">
        <v>14</v>
      </c>
      <c r="C16" s="6">
        <v>900</v>
      </c>
      <c r="D16" s="6">
        <v>181</v>
      </c>
      <c r="E16" s="6">
        <v>0</v>
      </c>
      <c r="F16" s="6">
        <v>87</v>
      </c>
      <c r="G16" s="7">
        <v>6.88</v>
      </c>
      <c r="H16" s="8">
        <v>658</v>
      </c>
      <c r="I16" s="7">
        <v>8.5</v>
      </c>
      <c r="J16" s="7">
        <v>1</v>
      </c>
      <c r="K16" s="7">
        <v>2.25</v>
      </c>
      <c r="L16" s="7">
        <v>2.2</v>
      </c>
      <c r="M16" s="17">
        <v>0.5</v>
      </c>
    </row>
    <row r="17" spans="1:13" ht="12.75">
      <c r="A17" s="29"/>
      <c r="B17" s="6" t="s">
        <v>15</v>
      </c>
      <c r="C17" s="6">
        <v>900</v>
      </c>
      <c r="D17" s="6">
        <v>140</v>
      </c>
      <c r="E17" s="6">
        <v>0</v>
      </c>
      <c r="F17" s="6">
        <v>100</v>
      </c>
      <c r="G17" s="7">
        <v>6.75</v>
      </c>
      <c r="H17" s="8">
        <v>640</v>
      </c>
      <c r="I17" s="7">
        <v>7.3</v>
      </c>
      <c r="J17" s="7">
        <v>0.9</v>
      </c>
      <c r="K17" s="7">
        <v>3.2</v>
      </c>
      <c r="L17" s="7">
        <v>2.2</v>
      </c>
      <c r="M17" s="17">
        <v>0.5</v>
      </c>
    </row>
    <row r="18" spans="1:13" ht="12.75">
      <c r="A18" s="29"/>
      <c r="B18" s="6" t="s">
        <v>16</v>
      </c>
      <c r="C18" s="6">
        <v>900</v>
      </c>
      <c r="D18" s="6">
        <v>122</v>
      </c>
      <c r="E18" s="6">
        <v>0</v>
      </c>
      <c r="F18" s="6">
        <v>111</v>
      </c>
      <c r="G18" s="7">
        <v>6.6</v>
      </c>
      <c r="H18" s="8">
        <v>620</v>
      </c>
      <c r="I18" s="7">
        <v>7.9</v>
      </c>
      <c r="J18" s="7">
        <v>0.8</v>
      </c>
      <c r="K18" s="7">
        <v>3.3</v>
      </c>
      <c r="L18" s="7">
        <v>20.2</v>
      </c>
      <c r="M18" s="17">
        <v>0.5</v>
      </c>
    </row>
    <row r="19" spans="1:13" ht="12.75">
      <c r="A19" s="29"/>
      <c r="B19" s="6" t="s">
        <v>12</v>
      </c>
      <c r="C19" s="6">
        <v>870</v>
      </c>
      <c r="D19" s="6">
        <v>50</v>
      </c>
      <c r="E19" s="6">
        <v>0</v>
      </c>
      <c r="F19" s="6">
        <v>115</v>
      </c>
      <c r="G19" s="7">
        <v>7.13</v>
      </c>
      <c r="H19" s="8">
        <v>689</v>
      </c>
      <c r="I19" s="7">
        <v>0.6</v>
      </c>
      <c r="J19" s="7">
        <v>3.4</v>
      </c>
      <c r="K19" s="7">
        <v>0.1</v>
      </c>
      <c r="L19" s="7">
        <v>1.1</v>
      </c>
      <c r="M19" s="17">
        <v>0.4</v>
      </c>
    </row>
    <row r="20" spans="1:13" ht="12.75">
      <c r="A20" s="29"/>
      <c r="B20" s="6" t="s">
        <v>13</v>
      </c>
      <c r="C20" s="6">
        <v>870</v>
      </c>
      <c r="D20" s="6">
        <v>102</v>
      </c>
      <c r="E20" s="6">
        <v>0</v>
      </c>
      <c r="F20" s="6">
        <v>112</v>
      </c>
      <c r="G20" s="7">
        <v>6.72</v>
      </c>
      <c r="H20" s="8">
        <v>617</v>
      </c>
      <c r="I20" s="7">
        <v>1.1</v>
      </c>
      <c r="J20" s="7">
        <v>3</v>
      </c>
      <c r="K20" s="7">
        <v>0.34</v>
      </c>
      <c r="L20" s="7">
        <v>1.2</v>
      </c>
      <c r="M20" s="17">
        <v>0.4</v>
      </c>
    </row>
    <row r="21" spans="1:13" ht="12.75">
      <c r="A21" s="29"/>
      <c r="B21" s="6" t="s">
        <v>28</v>
      </c>
      <c r="C21" s="6">
        <v>670</v>
      </c>
      <c r="D21" s="6">
        <v>26</v>
      </c>
      <c r="E21" s="6">
        <v>0</v>
      </c>
      <c r="F21" s="6">
        <v>119</v>
      </c>
      <c r="G21" s="7">
        <v>7.96</v>
      </c>
      <c r="H21" s="8">
        <v>756</v>
      </c>
      <c r="I21" s="7">
        <v>0.6</v>
      </c>
      <c r="J21" s="7">
        <v>3.3</v>
      </c>
      <c r="K21" s="7">
        <v>0.1</v>
      </c>
      <c r="L21" s="7">
        <v>1.3</v>
      </c>
      <c r="M21" s="17">
        <v>0.4</v>
      </c>
    </row>
    <row r="22" spans="1:13" ht="12.75">
      <c r="A22" s="29"/>
      <c r="B22" s="6" t="s">
        <v>48</v>
      </c>
      <c r="C22" s="6">
        <v>880</v>
      </c>
      <c r="D22" s="6">
        <v>23</v>
      </c>
      <c r="E22" s="6">
        <v>0</v>
      </c>
      <c r="F22" s="6">
        <v>93</v>
      </c>
      <c r="G22" s="7">
        <v>8.09</v>
      </c>
      <c r="H22" s="8">
        <v>777</v>
      </c>
      <c r="I22" s="7">
        <v>0.3</v>
      </c>
      <c r="J22" s="7">
        <v>2.8</v>
      </c>
      <c r="K22" s="7">
        <v>0.22</v>
      </c>
      <c r="L22" s="7">
        <v>0.8</v>
      </c>
      <c r="M22" s="17">
        <v>0.52</v>
      </c>
    </row>
    <row r="23" spans="1:13" ht="12.75">
      <c r="A23" s="29"/>
      <c r="B23" s="6" t="s">
        <v>41</v>
      </c>
      <c r="C23" s="6">
        <v>880</v>
      </c>
      <c r="D23" s="6">
        <v>79</v>
      </c>
      <c r="E23" s="6">
        <v>0</v>
      </c>
      <c r="F23" s="6">
        <v>265</v>
      </c>
      <c r="G23" s="7">
        <v>7.14</v>
      </c>
      <c r="H23" s="8">
        <v>707</v>
      </c>
      <c r="I23" s="7">
        <v>1.4</v>
      </c>
      <c r="J23" s="7">
        <v>4.2</v>
      </c>
      <c r="K23" s="7">
        <v>0.3</v>
      </c>
      <c r="L23" s="7">
        <v>1.1</v>
      </c>
      <c r="M23" s="17"/>
    </row>
    <row r="24" spans="1:13" ht="12.75">
      <c r="A24" s="29"/>
      <c r="B24" s="6" t="s">
        <v>47</v>
      </c>
      <c r="C24" s="6">
        <v>920</v>
      </c>
      <c r="D24" s="6">
        <v>200</v>
      </c>
      <c r="E24" s="6">
        <v>100</v>
      </c>
      <c r="F24" s="6">
        <v>156</v>
      </c>
      <c r="G24" s="7">
        <v>5.5</v>
      </c>
      <c r="H24" s="8"/>
      <c r="I24" s="7"/>
      <c r="J24" s="7"/>
      <c r="K24" s="7"/>
      <c r="L24" s="7"/>
      <c r="M24" s="17">
        <v>0.2</v>
      </c>
    </row>
    <row r="25" spans="1:13" ht="13.5" thickBot="1">
      <c r="A25" s="29"/>
      <c r="B25" s="6" t="s">
        <v>52</v>
      </c>
      <c r="C25" s="6">
        <v>870</v>
      </c>
      <c r="D25" s="6">
        <v>62</v>
      </c>
      <c r="E25" s="6">
        <v>0</v>
      </c>
      <c r="F25" s="6">
        <v>440</v>
      </c>
      <c r="G25" s="7">
        <v>7.16</v>
      </c>
      <c r="H25" s="8">
        <v>720</v>
      </c>
      <c r="I25" s="7">
        <v>2.8</v>
      </c>
      <c r="J25" s="7">
        <v>6</v>
      </c>
      <c r="K25" s="7">
        <v>0.2</v>
      </c>
      <c r="L25" s="7">
        <v>2</v>
      </c>
      <c r="M25" s="17">
        <v>0.5</v>
      </c>
    </row>
    <row r="26" spans="1:13" ht="13.5" thickBot="1">
      <c r="A26" s="30" t="s">
        <v>24</v>
      </c>
      <c r="B26" s="6" t="s">
        <v>17</v>
      </c>
      <c r="C26" s="6">
        <v>116</v>
      </c>
      <c r="D26" s="6">
        <v>9</v>
      </c>
      <c r="E26" s="6">
        <v>0</v>
      </c>
      <c r="F26" s="6">
        <v>10</v>
      </c>
      <c r="G26" s="7">
        <v>0.84</v>
      </c>
      <c r="H26" s="8">
        <v>77</v>
      </c>
      <c r="I26" s="7">
        <v>0.3</v>
      </c>
      <c r="J26" s="7">
        <v>0.3</v>
      </c>
      <c r="K26" s="7">
        <v>0.4</v>
      </c>
      <c r="L26" s="7">
        <v>0.3</v>
      </c>
      <c r="M26" s="17">
        <v>0.14</v>
      </c>
    </row>
    <row r="27" spans="1:13" ht="12.75">
      <c r="A27" s="29"/>
      <c r="B27" s="6" t="s">
        <v>18</v>
      </c>
      <c r="C27" s="6">
        <v>114</v>
      </c>
      <c r="D27" s="6">
        <v>10</v>
      </c>
      <c r="E27" s="6">
        <v>0</v>
      </c>
      <c r="F27" s="6">
        <v>12</v>
      </c>
      <c r="G27" s="7">
        <v>1.11</v>
      </c>
      <c r="H27" s="8">
        <v>103</v>
      </c>
      <c r="I27" s="7">
        <v>0.4</v>
      </c>
      <c r="J27" s="7">
        <v>0.3</v>
      </c>
      <c r="K27" s="7">
        <v>0.4</v>
      </c>
      <c r="L27" s="7">
        <v>0.3</v>
      </c>
      <c r="M27" s="17">
        <v>0.14</v>
      </c>
    </row>
  </sheetData>
  <mergeCells count="3">
    <mergeCell ref="A1:M1"/>
    <mergeCell ref="C4:H4"/>
    <mergeCell ref="A2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Havlik</dc:creator>
  <cp:keywords/>
  <dc:description/>
  <cp:lastModifiedBy>dors</cp:lastModifiedBy>
  <cp:lastPrinted>2003-08-07T10:46:50Z</cp:lastPrinted>
  <dcterms:created xsi:type="dcterms:W3CDTF">1999-02-11T08:56:49Z</dcterms:created>
  <dcterms:modified xsi:type="dcterms:W3CDTF">2004-08-16T09:16:23Z</dcterms:modified>
  <cp:category/>
  <cp:version/>
  <cp:contentType/>
  <cp:contentStatus/>
</cp:coreProperties>
</file>